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/>
  <mc:AlternateContent xmlns:mc="http://schemas.openxmlformats.org/markup-compatibility/2006">
    <mc:Choice Requires="x15">
      <x15ac:absPath xmlns:x15ac="http://schemas.microsoft.com/office/spreadsheetml/2010/11/ac" url="/Users/bridgetkirk/Library/CloudStorage/GoogleDrive-bkirk@heartlandgmc.org/Shared drives/Presiding Elders/Appointment Working Files/1. Blank Appointment Change Forms/"/>
    </mc:Choice>
  </mc:AlternateContent>
  <xr:revisionPtr revIDLastSave="0" documentId="13_ncr:1_{5D62E1BB-9649-3B4D-A70F-EAEEE633802F}" xr6:coauthVersionLast="47" xr6:coauthVersionMax="47" xr10:uidLastSave="{00000000-0000-0000-0000-000000000000}"/>
  <bookViews>
    <workbookView xWindow="0" yWindow="520" windowWidth="22940" windowHeight="14380" xr2:uid="{00000000-000D-0000-FFFF-FFFF00000000}"/>
  </bookViews>
  <sheets>
    <sheet name="Comp_Form" sheetId="1" r:id="rId1"/>
    <sheet name="Data" sheetId="2" r:id="rId2"/>
  </sheets>
  <definedNames>
    <definedName name="_xlnm.Print_Area" localSheetId="0">Comp_Form!$A$1:$F$79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7" i="2"/>
  <c r="D16" i="2"/>
  <c r="D15" i="2"/>
  <c r="D14" i="2"/>
  <c r="D13" i="2"/>
  <c r="D12" i="2"/>
  <c r="D11" i="2"/>
  <c r="E56" i="1"/>
  <c r="E31" i="1"/>
  <c r="B74" i="1" s="1"/>
  <c r="E75" i="1"/>
  <c r="E13" i="1"/>
  <c r="E52" i="1"/>
  <c r="E50" i="1"/>
  <c r="P18" i="2"/>
  <c r="P17" i="2"/>
  <c r="P16" i="2"/>
  <c r="P15" i="2"/>
  <c r="P14" i="2"/>
  <c r="P13" i="2"/>
  <c r="P12" i="2"/>
  <c r="P11" i="2"/>
  <c r="N14" i="2"/>
  <c r="N13" i="2"/>
  <c r="N12" i="2"/>
  <c r="N11" i="2"/>
  <c r="N10" i="2"/>
  <c r="N9" i="2"/>
  <c r="N8" i="2"/>
  <c r="N7" i="2"/>
  <c r="N6" i="2"/>
  <c r="N5" i="2"/>
  <c r="N4" i="2"/>
  <c r="N3" i="2"/>
  <c r="L10" i="2"/>
  <c r="L9" i="2"/>
  <c r="L8" i="2"/>
  <c r="L7" i="2"/>
  <c r="L6" i="2"/>
  <c r="L5" i="2"/>
  <c r="L4" i="2"/>
  <c r="L3" i="2"/>
  <c r="J14" i="2"/>
  <c r="J13" i="2"/>
  <c r="J12" i="2"/>
  <c r="J11" i="2"/>
  <c r="J10" i="2"/>
  <c r="J9" i="2"/>
  <c r="J8" i="2"/>
  <c r="J7" i="2"/>
  <c r="J6" i="2"/>
  <c r="J5" i="2"/>
  <c r="J4" i="2"/>
  <c r="J3" i="2"/>
  <c r="D10" i="2"/>
  <c r="D9" i="2"/>
  <c r="D8" i="2"/>
  <c r="D7" i="2"/>
  <c r="D6" i="2"/>
  <c r="D5" i="2"/>
  <c r="D4" i="2"/>
  <c r="D3" i="2"/>
  <c r="E55" i="1"/>
  <c r="C78" i="1"/>
  <c r="E73" i="1"/>
  <c r="E71" i="1"/>
  <c r="E70" i="1"/>
  <c r="E48" i="1"/>
  <c r="E29" i="1"/>
  <c r="E22" i="1"/>
  <c r="E74" i="1" l="1"/>
  <c r="B78" i="1"/>
  <c r="C74" i="1"/>
  <c r="E62" i="1"/>
  <c r="E72" i="1" l="1"/>
  <c r="E69" i="1" s="1"/>
  <c r="E30" i="1"/>
  <c r="B70" i="1"/>
  <c r="C76" i="1"/>
  <c r="G30" i="1" l="1"/>
  <c r="B76" i="1"/>
  <c r="E37" i="1"/>
  <c r="G60" i="1"/>
  <c r="E43" i="1" l="1"/>
  <c r="D43" i="1"/>
  <c r="C43" i="1"/>
  <c r="B43" i="1"/>
</calcChain>
</file>

<file path=xl/sharedStrings.xml><?xml version="1.0" encoding="utf-8"?>
<sst xmlns="http://schemas.openxmlformats.org/spreadsheetml/2006/main" count="170" uniqueCount="130">
  <si>
    <t>Church/Parish</t>
  </si>
  <si>
    <t>Status</t>
  </si>
  <si>
    <t>Full or Part-Time</t>
  </si>
  <si>
    <t>Pastor</t>
  </si>
  <si>
    <t>Effective Date</t>
  </si>
  <si>
    <t>Full-Time</t>
  </si>
  <si>
    <t>SECTION I: INCOME</t>
  </si>
  <si>
    <t>Note: Designated Housing Exclusion does not affect church financially but can reduce pastor’s taxable income. The amount is determined by the pastor but must be approved by the church leadership.</t>
  </si>
  <si>
    <t>A. Base Salary</t>
  </si>
  <si>
    <t>B. Other (e.g. social security allowance or health ins. allowance)</t>
  </si>
  <si>
    <t xml:space="preserve">     Describe:  </t>
  </si>
  <si>
    <t>C. Total Compensation (Add lines A and B)</t>
  </si>
  <si>
    <t>D. Designated Housing Exclusion</t>
  </si>
  <si>
    <t>SECTION II: HOUSING</t>
  </si>
  <si>
    <t>Note: Cash Housing Allowance amount is set by the church as additional and can be paid out with the regular paycheck or in a separate check.</t>
  </si>
  <si>
    <t>A. Is a Parsonage provided? (yes or no)</t>
  </si>
  <si>
    <t>Yes</t>
  </si>
  <si>
    <t>B. Cash Housing Allowance (when no parsonage is provided)</t>
  </si>
  <si>
    <t>SECTION III: LOCAL PARISH EXPENSES</t>
  </si>
  <si>
    <t xml:space="preserve">Note: Costs for pension and health depend on the pastor’s eligibility and elections. The best place to go for the most current info is to contact benefits@globalmethodist.org or visit https://www.guidestone.org/updates/global-methodist-church </t>
  </si>
  <si>
    <t>A. Retirement (Church's Share)</t>
  </si>
  <si>
    <t>B. Health Insurance (Church's Share)</t>
  </si>
  <si>
    <t>Coverage?</t>
  </si>
  <si>
    <t>Opt Out</t>
  </si>
  <si>
    <t>C. Long-Term Disability Insurance (Not including supplemental amounts)</t>
  </si>
  <si>
    <t>D. Life &amp; Accident Insurance (Not including optional amounts)</t>
  </si>
  <si>
    <t>E. Accountable Reimbursement Plan</t>
  </si>
  <si>
    <t>F. Other Expenses Paid by Parish</t>
  </si>
  <si>
    <t xml:space="preserve">     Describe: </t>
  </si>
  <si>
    <t>G. Total Expenses Paid by Parish (Add Lines I:C + II:B + III:A – F)</t>
  </si>
  <si>
    <t>Breakdown of how Parish Expenses are shared among Churches</t>
  </si>
  <si>
    <t>Percent:</t>
  </si>
  <si>
    <t xml:space="preserve">Church Name: </t>
  </si>
  <si>
    <t>Share of Cost:</t>
  </si>
  <si>
    <t>SECTION IV: SALARY WITHHOLDINGS (Optional)</t>
  </si>
  <si>
    <t>Note: The amounts can be found in the Employer Access Program (https://eap.guidestone.org/). Remember to use annual amounts.</t>
  </si>
  <si>
    <t>Pastor's Contribution to Health Insurance</t>
  </si>
  <si>
    <t>C. Health Care Flexible Spending (Before Tax)</t>
  </si>
  <si>
    <t>D. Dependent Care Flexible Spending (Before Tax)</t>
  </si>
  <si>
    <t>G. Optional or Supplemental Coverages (After Tax)</t>
  </si>
  <si>
    <t>Pastor's Contribution to Retirement</t>
  </si>
  <si>
    <t>E. Pastor’s Contribution Percentage</t>
  </si>
  <si>
    <t>F. Pastor’s Contribution Type</t>
  </si>
  <si>
    <t>Tax Sheltered</t>
  </si>
  <si>
    <t>G. Pastor’s Contribution to Retirement</t>
  </si>
  <si>
    <t>SECTION V: PAYROLL, TAXES, &amp; BILLING (Information Only)</t>
  </si>
  <si>
    <t>Note: You may need to contact a clergy tax professional.</t>
  </si>
  <si>
    <t>How often paid?</t>
  </si>
  <si>
    <t>Semi-Monthly</t>
  </si>
  <si>
    <t>Form W-2</t>
  </si>
  <si>
    <t>Tax Withheld:</t>
  </si>
  <si>
    <t>Per Paycheck</t>
  </si>
  <si>
    <t>Box 1:</t>
  </si>
  <si>
    <t>Paycheck Amount:</t>
  </si>
  <si>
    <t>Box 2:</t>
  </si>
  <si>
    <t>Box 10:</t>
  </si>
  <si>
    <t>Church Share</t>
  </si>
  <si>
    <t>Pastor Share</t>
  </si>
  <si>
    <t>Box 12 (Code E):</t>
  </si>
  <si>
    <t>Insurance paid
to GuideStone:</t>
  </si>
  <si>
    <t>Box 12 (Code BB):</t>
  </si>
  <si>
    <t>Box 12 (Code W):</t>
  </si>
  <si>
    <t>Retirement paid to GuideStone:</t>
  </si>
  <si>
    <t>HSA and Flex Spending to EBC:</t>
  </si>
  <si>
    <t>Time</t>
  </si>
  <si>
    <t>Health</t>
  </si>
  <si>
    <t>Parsonage</t>
  </si>
  <si>
    <t>Covenant</t>
  </si>
  <si>
    <t>Frequency</t>
  </si>
  <si>
    <t>Elder</t>
  </si>
  <si>
    <t>Deacon</t>
  </si>
  <si>
    <t>¾-Time</t>
  </si>
  <si>
    <t>No</t>
  </si>
  <si>
    <t>ROTH</t>
  </si>
  <si>
    <t>Monthly</t>
  </si>
  <si>
    <t>Lay Minister</t>
  </si>
  <si>
    <t>½-Time</t>
  </si>
  <si>
    <t>Bi-Weekly</t>
  </si>
  <si>
    <t>¼-Time</t>
  </si>
  <si>
    <t>Weekly</t>
  </si>
  <si>
    <t>Supply Pastor</t>
  </si>
  <si>
    <t>Other</t>
  </si>
  <si>
    <t>Pastor Only HealthChoice 2000</t>
  </si>
  <si>
    <t>Pastor + Spouse HealthChoice 2000</t>
  </si>
  <si>
    <t>Pastor + Kid(s) HealthChoice 2000</t>
  </si>
  <si>
    <t>Family HealthChoice 2000</t>
  </si>
  <si>
    <t>Pastor Only HealthChoice 5000</t>
  </si>
  <si>
    <t>Pastor + Spouse HealthChoice 5000</t>
  </si>
  <si>
    <t>Pastor + Kid(s) HealthChoice 5000</t>
  </si>
  <si>
    <t>Family HealthChoice 5000</t>
  </si>
  <si>
    <t>Pastor Only HealthSavers 2000</t>
  </si>
  <si>
    <t>Pastor + Spouse HealthSavers 2000</t>
  </si>
  <si>
    <t>Pastor + Kid(s) HealthSavers 2000</t>
  </si>
  <si>
    <t>Family HealthSavers 2000</t>
  </si>
  <si>
    <t>Pastor HealthSavers 4000</t>
  </si>
  <si>
    <t>Pastor + Spouse HealthSavers 4000</t>
  </si>
  <si>
    <t>Pastor + Kid(s) HealthSavers 4000</t>
  </si>
  <si>
    <t>Family HealthSavers 4000</t>
  </si>
  <si>
    <t>*Box 14:</t>
  </si>
  <si>
    <t>Dental</t>
  </si>
  <si>
    <t>Vision</t>
  </si>
  <si>
    <t>Pastor Premier</t>
  </si>
  <si>
    <t>Pastor Advanced</t>
  </si>
  <si>
    <t>Pastor + Spouse Premier</t>
  </si>
  <si>
    <t>Pastor + Spouse Advanced</t>
  </si>
  <si>
    <t>Pastor + Kids Premier</t>
  </si>
  <si>
    <t>Pastor + Kid(s) Advanced</t>
  </si>
  <si>
    <t>Family Premier</t>
  </si>
  <si>
    <t>Family Advanced</t>
  </si>
  <si>
    <t>Pastor Choice Plus</t>
  </si>
  <si>
    <t>Pastor Standard</t>
  </si>
  <si>
    <t>Pastor + Spouse Choice</t>
  </si>
  <si>
    <t>Pastor + Spouse Standard</t>
  </si>
  <si>
    <t>Pastor + Kids Choice</t>
  </si>
  <si>
    <t>Pastor + Kid(s) Standard</t>
  </si>
  <si>
    <t>Family Choice</t>
  </si>
  <si>
    <t>Family Standard</t>
  </si>
  <si>
    <t>Pastor Cigna</t>
  </si>
  <si>
    <t>Pastor + Spouse Cigna</t>
  </si>
  <si>
    <t>Pastor + Kids Cigna</t>
  </si>
  <si>
    <t>Family Cigna</t>
  </si>
  <si>
    <t xml:space="preserve">  E. Dental Coverage (Before Tax)</t>
  </si>
  <si>
    <t xml:space="preserve">  F. Vision Coverage (Before Tax)</t>
  </si>
  <si>
    <t xml:space="preserve">Health </t>
  </si>
  <si>
    <r>
      <t xml:space="preserve">B. Health Savings Account </t>
    </r>
    <r>
      <rPr>
        <b/>
        <sz val="11"/>
        <color theme="1"/>
        <rFont val="Calibri"/>
        <family val="2"/>
      </rPr>
      <t>(Before Tax; Employee share only)</t>
    </r>
  </si>
  <si>
    <t>HSA</t>
  </si>
  <si>
    <t>Senior (Retired)</t>
  </si>
  <si>
    <r>
      <t xml:space="preserve">  A. Pastor’s Share </t>
    </r>
    <r>
      <rPr>
        <b/>
        <sz val="9"/>
        <color theme="1"/>
        <rFont val="Calibri"/>
        <family val="2"/>
      </rPr>
      <t>(Before Tax; Equals Premium minus Church Share)</t>
    </r>
  </si>
  <si>
    <r>
      <t xml:space="preserve">  B1. HSA Employer Share </t>
    </r>
    <r>
      <rPr>
        <b/>
        <i/>
        <sz val="10"/>
        <color theme="1" tint="0.499984740745262"/>
        <rFont val="Calibri"/>
        <family val="2"/>
      </rPr>
      <t>(Not withheld but needed for W-2)</t>
    </r>
  </si>
  <si>
    <t>*If parsonage provided include fair market rental value on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</si>
</sst>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\$#,##0.00"/>
    <numFmt numFmtId="167" formatCode="#,##0.00\ ;&quot; (&quot;#,##0.00\);&quot; -&quot;#\ ;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8"/>
      <color theme="1"/>
      <name val="Calibri"/>
      <family val="2"/>
    </font>
    <font>
      <sz val="12"/>
      <color theme="1"/>
      <name val="Arial"/>
      <family val="2"/>
    </font>
    <font>
      <b/>
      <sz val="6"/>
      <color theme="1"/>
      <name val="Calibri"/>
      <family val="2"/>
    </font>
    <font>
      <sz val="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4"/>
      <color theme="1"/>
      <name val="Calibri"/>
      <family val="2"/>
    </font>
    <font>
      <b/>
      <i/>
      <sz val="6"/>
      <color theme="1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sz val="11"/>
      <color rgb="FFFF0000"/>
      <name val="Calibri"/>
      <family val="2"/>
      <scheme val="minor"/>
    </font>
    <font>
      <b/>
      <i/>
      <sz val="12"/>
      <color theme="1" tint="0.499984740745262"/>
      <name val="Calibri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Calibri"/>
      <family val="2"/>
    </font>
    <font>
      <b/>
      <u/>
      <sz val="12"/>
      <color theme="1"/>
      <name val="Calibri"/>
      <family val="2"/>
    </font>
    <font>
      <u/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b/>
      <i/>
      <sz val="10"/>
      <color theme="1" tint="0.499984740745262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43" fontId="1" fillId="0" borderId="0"/>
    <xf numFmtId="9" fontId="1" fillId="0" borderId="0"/>
    <xf numFmtId="167" fontId="3" fillId="0" borderId="0"/>
    <xf numFmtId="0" fontId="3" fillId="0" borderId="0"/>
    <xf numFmtId="0" fontId="1" fillId="0" borderId="0"/>
    <xf numFmtId="43" fontId="1" fillId="0" borderId="0"/>
    <xf numFmtId="44" fontId="1" fillId="0" borderId="0"/>
  </cellStyleXfs>
  <cellXfs count="139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166" fontId="0" fillId="0" borderId="0" xfId="0" applyNumberFormat="1"/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164" fontId="6" fillId="4" borderId="14" xfId="1" applyNumberFormat="1" applyFont="1" applyFill="1" applyBorder="1" applyAlignment="1" applyProtection="1">
      <alignment wrapText="1"/>
      <protection locked="0"/>
    </xf>
    <xf numFmtId="164" fontId="6" fillId="4" borderId="15" xfId="1" applyNumberFormat="1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horizontal="center" wrapText="1"/>
      <protection locked="0"/>
    </xf>
    <xf numFmtId="164" fontId="6" fillId="4" borderId="14" xfId="1" applyNumberFormat="1" applyFont="1" applyFill="1" applyBorder="1" applyAlignment="1" applyProtection="1">
      <alignment horizontal="right" wrapText="1"/>
      <protection locked="0"/>
    </xf>
    <xf numFmtId="0" fontId="11" fillId="4" borderId="20" xfId="0" applyFont="1" applyFill="1" applyBorder="1" applyAlignment="1" applyProtection="1">
      <alignment horizontal="center" wrapText="1"/>
      <protection locked="0"/>
    </xf>
    <xf numFmtId="9" fontId="6" fillId="4" borderId="2" xfId="2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0" fontId="6" fillId="4" borderId="7" xfId="2" applyNumberFormat="1" applyFont="1" applyFill="1" applyBorder="1" applyAlignment="1" applyProtection="1">
      <alignment horizontal="center" wrapText="1"/>
      <protection locked="0"/>
    </xf>
    <xf numFmtId="164" fontId="6" fillId="4" borderId="14" xfId="1" applyNumberFormat="1" applyFont="1" applyFill="1" applyBorder="1" applyAlignment="1" applyProtection="1">
      <alignment horizontal="center" wrapText="1"/>
      <protection locked="0"/>
    </xf>
    <xf numFmtId="0" fontId="11" fillId="4" borderId="7" xfId="0" applyFont="1" applyFill="1" applyBorder="1" applyAlignment="1" applyProtection="1">
      <alignment horizontal="center" wrapText="1"/>
      <protection locked="0"/>
    </xf>
    <xf numFmtId="44" fontId="11" fillId="4" borderId="7" xfId="7" applyFont="1" applyFill="1" applyBorder="1" applyAlignment="1" applyProtection="1">
      <alignment wrapText="1"/>
      <protection locked="0"/>
    </xf>
    <xf numFmtId="0" fontId="26" fillId="0" borderId="0" xfId="0" applyFont="1"/>
    <xf numFmtId="0" fontId="5" fillId="0" borderId="9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3" borderId="0" xfId="0" applyFont="1" applyFill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11" fillId="0" borderId="11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right" vertical="center" wrapTex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11" fillId="0" borderId="11" xfId="0" applyFont="1" applyBorder="1" applyAlignment="1" applyProtection="1">
      <alignment horizontal="right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wrapText="1"/>
      <protection locked="0"/>
    </xf>
    <xf numFmtId="0" fontId="17" fillId="0" borderId="11" xfId="0" applyFont="1" applyBorder="1" applyAlignment="1" applyProtection="1">
      <alignment horizontal="left" vertical="center" wrapText="1" inden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8" fillId="0" borderId="12" xfId="0" applyFont="1" applyBorder="1" applyAlignment="1" applyProtection="1">
      <alignment vertical="center" wrapText="1"/>
      <protection locked="0"/>
    </xf>
    <xf numFmtId="0" fontId="10" fillId="0" borderId="11" xfId="0" applyFont="1" applyBorder="1" applyAlignment="1" applyProtection="1">
      <alignment horizontal="left" vertical="center" wrapText="1" inden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8" fillId="0" borderId="7" xfId="0" applyFont="1" applyBorder="1" applyAlignment="1" applyProtection="1">
      <alignment horizontal="right" vertical="center" wrapText="1" indent="1"/>
      <protection locked="0"/>
    </xf>
    <xf numFmtId="0" fontId="8" fillId="0" borderId="7" xfId="0" applyFont="1" applyBorder="1" applyAlignment="1" applyProtection="1">
      <alignment horizontal="right"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right" wrapText="1"/>
      <protection locked="0"/>
    </xf>
    <xf numFmtId="0" fontId="10" fillId="0" borderId="20" xfId="0" applyFont="1" applyBorder="1" applyAlignment="1" applyProtection="1">
      <alignment horizontal="right" wrapText="1"/>
      <protection locked="0"/>
    </xf>
    <xf numFmtId="164" fontId="11" fillId="0" borderId="0" xfId="1" applyNumberFormat="1" applyFont="1" applyAlignment="1" applyProtection="1">
      <alignment wrapText="1"/>
      <protection locked="0"/>
    </xf>
    <xf numFmtId="0" fontId="7" fillId="0" borderId="6" xfId="0" applyFont="1" applyBorder="1" applyAlignment="1" applyProtection="1">
      <alignment horizontal="left" vertical="center" wrapText="1" indent="5"/>
      <protection locked="0"/>
    </xf>
    <xf numFmtId="0" fontId="0" fillId="0" borderId="7" xfId="0" applyBorder="1" applyProtection="1">
      <protection locked="0"/>
    </xf>
    <xf numFmtId="0" fontId="8" fillId="0" borderId="8" xfId="0" applyFont="1" applyBorder="1" applyAlignment="1" applyProtection="1">
      <alignment horizontal="right" vertical="center" wrapText="1"/>
      <protection locked="0"/>
    </xf>
    <xf numFmtId="0" fontId="10" fillId="0" borderId="2" xfId="0" applyFont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164" fontId="16" fillId="0" borderId="0" xfId="1" applyNumberFormat="1" applyFont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164" fontId="11" fillId="0" borderId="0" xfId="1" applyNumberFormat="1" applyFont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right"/>
      <protection locked="0"/>
    </xf>
    <xf numFmtId="0" fontId="10" fillId="0" borderId="0" xfId="0" applyFont="1" applyAlignment="1" applyProtection="1">
      <alignment wrapText="1"/>
      <protection locked="0"/>
    </xf>
    <xf numFmtId="0" fontId="24" fillId="0" borderId="0" xfId="0" applyFont="1" applyAlignment="1" applyProtection="1">
      <alignment horizontal="centerContinuous"/>
      <protection locked="0"/>
    </xf>
    <xf numFmtId="9" fontId="25" fillId="0" borderId="0" xfId="2" applyFont="1" applyAlignment="1" applyProtection="1">
      <alignment horizontal="centerContinuous"/>
      <protection locked="0"/>
    </xf>
    <xf numFmtId="0" fontId="23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10" fillId="0" borderId="11" xfId="0" applyFont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4" fontId="11" fillId="0" borderId="0" xfId="7" applyFont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164" fontId="22" fillId="0" borderId="1" xfId="1" applyNumberFormat="1" applyFont="1" applyBorder="1" applyAlignment="1">
      <alignment wrapText="1"/>
    </xf>
    <xf numFmtId="164" fontId="6" fillId="0" borderId="14" xfId="1" applyNumberFormat="1" applyFont="1" applyBorder="1" applyAlignment="1">
      <alignment horizontal="left" wrapText="1"/>
    </xf>
    <xf numFmtId="166" fontId="6" fillId="0" borderId="14" xfId="1" applyNumberFormat="1" applyFont="1" applyBorder="1" applyAlignment="1">
      <alignment horizontal="left" wrapText="1"/>
    </xf>
    <xf numFmtId="165" fontId="6" fillId="0" borderId="2" xfId="7" applyNumberFormat="1" applyFont="1" applyBorder="1" applyAlignment="1">
      <alignment wrapText="1"/>
    </xf>
    <xf numFmtId="44" fontId="11" fillId="0" borderId="7" xfId="7" applyFont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9" fillId="0" borderId="0" xfId="0" applyFont="1"/>
    <xf numFmtId="164" fontId="6" fillId="0" borderId="14" xfId="1" applyNumberFormat="1" applyFont="1" applyBorder="1" applyAlignment="1">
      <alignment horizontal="right" wrapText="1"/>
    </xf>
    <xf numFmtId="43" fontId="11" fillId="0" borderId="7" xfId="7" applyNumberFormat="1" applyFont="1" applyBorder="1" applyAlignment="1">
      <alignment wrapText="1"/>
    </xf>
    <xf numFmtId="0" fontId="30" fillId="0" borderId="0" xfId="0" applyFont="1" applyAlignment="1" applyProtection="1">
      <alignment horizontal="left"/>
      <protection locked="0"/>
    </xf>
    <xf numFmtId="165" fontId="6" fillId="0" borderId="2" xfId="7" applyNumberFormat="1" applyFont="1" applyBorder="1" applyAlignment="1">
      <alignment horizontal="center" vertical="center" wrapText="1"/>
    </xf>
    <xf numFmtId="0" fontId="0" fillId="0" borderId="13" xfId="0" applyBorder="1"/>
    <xf numFmtId="0" fontId="10" fillId="0" borderId="19" xfId="0" applyFont="1" applyBorder="1" applyAlignment="1" applyProtection="1">
      <alignment horizontal="left" wrapText="1" indent="1"/>
      <protection locked="0"/>
    </xf>
    <xf numFmtId="0" fontId="0" fillId="0" borderId="20" xfId="0" applyBorder="1" applyProtection="1">
      <protection locked="0"/>
    </xf>
    <xf numFmtId="0" fontId="10" fillId="0" borderId="19" xfId="0" applyFont="1" applyBorder="1" applyAlignment="1" applyProtection="1">
      <alignment horizontal="left" indent="1"/>
      <protection locked="0"/>
    </xf>
    <xf numFmtId="0" fontId="10" fillId="0" borderId="16" xfId="0" applyFont="1" applyBorder="1" applyAlignment="1" applyProtection="1">
      <alignment horizontal="left" wrapText="1" indent="1"/>
      <protection locked="0"/>
    </xf>
    <xf numFmtId="0" fontId="0" fillId="0" borderId="17" xfId="0" applyBorder="1" applyProtection="1">
      <protection locked="0"/>
    </xf>
    <xf numFmtId="9" fontId="6" fillId="4" borderId="2" xfId="2" applyFont="1" applyFill="1" applyBorder="1" applyAlignment="1" applyProtection="1">
      <alignment horizontal="center" vertical="center" wrapText="1"/>
      <protection locked="0"/>
    </xf>
    <xf numFmtId="0" fontId="0" fillId="4" borderId="13" xfId="0" applyFill="1" applyBorder="1" applyProtection="1"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Protection="1">
      <protection locked="0"/>
    </xf>
    <xf numFmtId="0" fontId="10" fillId="0" borderId="17" xfId="0" applyFont="1" applyBorder="1" applyProtection="1"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10" fillId="0" borderId="19" xfId="0" applyFont="1" applyBorder="1" applyAlignment="1" applyProtection="1">
      <alignment horizontal="left" wrapText="1"/>
      <protection locked="0"/>
    </xf>
    <xf numFmtId="14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21" fillId="4" borderId="18" xfId="0" applyFont="1" applyFill="1" applyBorder="1" applyAlignment="1" applyProtection="1">
      <alignment horizontal="left" wrapText="1"/>
      <protection locked="0"/>
    </xf>
    <xf numFmtId="0" fontId="0" fillId="4" borderId="18" xfId="0" applyFill="1" applyBorder="1" applyProtection="1"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0" fillId="0" borderId="5" xfId="0" applyBorder="1" applyProtection="1"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0" fontId="20" fillId="0" borderId="19" xfId="0" applyFont="1" applyBorder="1" applyAlignment="1" applyProtection="1">
      <alignment wrapText="1"/>
      <protection locked="0"/>
    </xf>
    <xf numFmtId="0" fontId="11" fillId="0" borderId="11" xfId="0" applyFont="1" applyBorder="1" applyAlignment="1" applyProtection="1">
      <alignment horizontal="right" wrapText="1"/>
      <protection locked="0"/>
    </xf>
    <xf numFmtId="0" fontId="0" fillId="0" borderId="11" xfId="0" applyBorder="1" applyProtection="1"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21" fillId="4" borderId="7" xfId="0" applyFont="1" applyFill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0" fillId="0" borderId="7" xfId="0" applyBorder="1" applyProtection="1">
      <protection locked="0"/>
    </xf>
  </cellXfs>
  <cellStyles count="8">
    <cellStyle name="Comma" xfId="1" builtinId="3"/>
    <cellStyle name="Comma 2" xfId="3" xr:uid="{00000000-0005-0000-0000-000003000000}"/>
    <cellStyle name="Comma 3" xfId="6" xr:uid="{00000000-0005-0000-0000-000006000000}"/>
    <cellStyle name="Currency" xfId="7" builtinId="4"/>
    <cellStyle name="Excel Built-in Normal" xfId="4" xr:uid="{00000000-0005-0000-0000-000004000000}"/>
    <cellStyle name="Normal" xfId="0" builtinId="0"/>
    <cellStyle name="Normal 3" xfId="5" xr:uid="{00000000-0005-0000-0000-000005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13"/>
  <sheetViews>
    <sheetView tabSelected="1" zoomScaleNormal="100" workbookViewId="0">
      <selection activeCell="A7" sqref="A7:F7"/>
    </sheetView>
  </sheetViews>
  <sheetFormatPr baseColWidth="10" defaultColWidth="8.83203125" defaultRowHeight="15" x14ac:dyDescent="0.2"/>
  <cols>
    <col min="1" max="4" width="17.6640625" style="17" customWidth="1"/>
    <col min="5" max="5" width="16.5" style="17" customWidth="1"/>
    <col min="6" max="6" width="1.5" style="17" customWidth="1"/>
    <col min="7" max="16384" width="8.83203125" style="17"/>
  </cols>
  <sheetData>
    <row r="1" spans="1:6" x14ac:dyDescent="0.2">
      <c r="A1" s="127" t="s">
        <v>0</v>
      </c>
      <c r="B1" s="122"/>
      <c r="C1" s="128"/>
      <c r="D1" s="16" t="s">
        <v>1</v>
      </c>
      <c r="E1" s="127" t="s">
        <v>2</v>
      </c>
      <c r="F1" s="128"/>
    </row>
    <row r="2" spans="1:6" ht="22.5" customHeight="1" x14ac:dyDescent="0.2">
      <c r="A2" s="129"/>
      <c r="B2" s="118"/>
      <c r="C2" s="119"/>
      <c r="D2" s="3"/>
      <c r="E2" s="129"/>
      <c r="F2" s="119"/>
    </row>
    <row r="3" spans="1:6" x14ac:dyDescent="0.2">
      <c r="A3" s="130" t="s">
        <v>3</v>
      </c>
      <c r="B3" s="115"/>
      <c r="C3" s="115"/>
      <c r="D3" s="127" t="s">
        <v>4</v>
      </c>
      <c r="E3" s="122"/>
      <c r="F3" s="128"/>
    </row>
    <row r="4" spans="1:6" ht="22.5" customHeight="1" x14ac:dyDescent="0.2">
      <c r="A4" s="134"/>
      <c r="B4" s="118"/>
      <c r="C4" s="118"/>
      <c r="D4" s="117"/>
      <c r="E4" s="118"/>
      <c r="F4" s="119"/>
    </row>
    <row r="5" spans="1:6" ht="7.5" customHeight="1" x14ac:dyDescent="0.2">
      <c r="A5" s="18"/>
      <c r="B5" s="120"/>
      <c r="C5" s="115"/>
      <c r="D5" s="18"/>
      <c r="E5" s="120"/>
      <c r="F5" s="115"/>
    </row>
    <row r="6" spans="1:6" ht="21" customHeight="1" x14ac:dyDescent="0.2">
      <c r="A6" s="108" t="s">
        <v>6</v>
      </c>
      <c r="B6" s="109"/>
      <c r="C6" s="109"/>
      <c r="D6" s="109"/>
      <c r="E6" s="109"/>
      <c r="F6" s="110"/>
    </row>
    <row r="7" spans="1:6" ht="30" customHeight="1" x14ac:dyDescent="0.2">
      <c r="A7" s="111" t="s">
        <v>7</v>
      </c>
      <c r="B7" s="109"/>
      <c r="C7" s="109"/>
      <c r="D7" s="109"/>
      <c r="E7" s="109"/>
      <c r="F7" s="110"/>
    </row>
    <row r="8" spans="1:6" ht="7.5" customHeight="1" x14ac:dyDescent="0.2">
      <c r="A8" s="20"/>
      <c r="B8" s="21"/>
      <c r="C8" s="21"/>
      <c r="D8" s="21"/>
      <c r="E8" s="22"/>
      <c r="F8" s="23"/>
    </row>
    <row r="9" spans="1:6" ht="16" customHeight="1" x14ac:dyDescent="0.2">
      <c r="A9" s="24"/>
      <c r="B9" s="25"/>
      <c r="C9" s="25"/>
      <c r="D9" s="25"/>
      <c r="E9" s="26">
        <v>2027</v>
      </c>
      <c r="F9" s="27"/>
    </row>
    <row r="10" spans="1:6" ht="18.75" customHeight="1" x14ac:dyDescent="0.2">
      <c r="A10" s="103" t="s">
        <v>8</v>
      </c>
      <c r="B10" s="104"/>
      <c r="C10" s="104"/>
      <c r="D10" s="104"/>
      <c r="E10" s="4"/>
      <c r="F10" s="28"/>
    </row>
    <row r="11" spans="1:6" ht="18.75" customHeight="1" x14ac:dyDescent="0.2">
      <c r="A11" s="100" t="s">
        <v>9</v>
      </c>
      <c r="B11" s="101"/>
      <c r="C11" s="101"/>
      <c r="D11" s="101"/>
      <c r="E11" s="4"/>
      <c r="F11" s="29"/>
    </row>
    <row r="12" spans="1:6" ht="16.5" customHeight="1" x14ac:dyDescent="0.2">
      <c r="A12" s="30" t="s">
        <v>10</v>
      </c>
      <c r="B12" s="123"/>
      <c r="C12" s="124"/>
      <c r="D12" s="124"/>
      <c r="E12" s="31"/>
      <c r="F12" s="32"/>
    </row>
    <row r="13" spans="1:6" ht="18.75" customHeight="1" thickBot="1" x14ac:dyDescent="0.25">
      <c r="A13" s="103" t="s">
        <v>11</v>
      </c>
      <c r="B13" s="104"/>
      <c r="C13" s="104"/>
      <c r="D13" s="104"/>
      <c r="E13" s="88">
        <f>E11+E10</f>
        <v>0</v>
      </c>
      <c r="F13" s="29"/>
    </row>
    <row r="14" spans="1:6" ht="18.75" customHeight="1" thickTop="1" x14ac:dyDescent="0.2">
      <c r="A14" s="100" t="s">
        <v>12</v>
      </c>
      <c r="B14" s="101"/>
      <c r="C14" s="101"/>
      <c r="D14" s="101"/>
      <c r="E14" s="5"/>
      <c r="F14" s="28"/>
    </row>
    <row r="15" spans="1:6" ht="7.5" customHeight="1" x14ac:dyDescent="0.2">
      <c r="A15" s="33"/>
      <c r="B15" s="34"/>
      <c r="C15" s="34"/>
      <c r="D15" s="34"/>
      <c r="E15" s="35"/>
      <c r="F15" s="36"/>
    </row>
    <row r="16" spans="1:6" ht="7.5" customHeight="1" x14ac:dyDescent="0.2">
      <c r="A16" s="37"/>
    </row>
    <row r="17" spans="1:7" ht="21" customHeight="1" x14ac:dyDescent="0.2">
      <c r="A17" s="108" t="s">
        <v>13</v>
      </c>
      <c r="B17" s="109"/>
      <c r="C17" s="109"/>
      <c r="D17" s="109"/>
      <c r="E17" s="109"/>
      <c r="F17" s="110"/>
    </row>
    <row r="18" spans="1:7" ht="30" customHeight="1" x14ac:dyDescent="0.2">
      <c r="A18" s="111" t="s">
        <v>14</v>
      </c>
      <c r="B18" s="109"/>
      <c r="C18" s="109"/>
      <c r="D18" s="109"/>
      <c r="E18" s="109"/>
      <c r="F18" s="110"/>
    </row>
    <row r="19" spans="1:7" ht="7.5" customHeight="1" x14ac:dyDescent="0.2">
      <c r="A19" s="38"/>
      <c r="B19" s="39"/>
      <c r="C19" s="39"/>
      <c r="D19" s="39"/>
      <c r="E19" s="39"/>
      <c r="F19" s="40"/>
    </row>
    <row r="20" spans="1:7" ht="18.75" customHeight="1" x14ac:dyDescent="0.2">
      <c r="A20" s="103" t="s">
        <v>15</v>
      </c>
      <c r="B20" s="104"/>
      <c r="C20" s="104"/>
      <c r="D20" s="104"/>
      <c r="E20" s="6"/>
      <c r="F20" s="41"/>
    </row>
    <row r="21" spans="1:7" x14ac:dyDescent="0.2">
      <c r="A21" s="42"/>
      <c r="B21" s="43"/>
      <c r="D21" s="44"/>
      <c r="E21" s="43"/>
      <c r="F21" s="45"/>
    </row>
    <row r="22" spans="1:7" ht="16" customHeight="1" x14ac:dyDescent="0.2">
      <c r="A22" s="46"/>
      <c r="B22" s="47"/>
      <c r="D22" s="48"/>
      <c r="E22" s="93">
        <f>E9</f>
        <v>2027</v>
      </c>
      <c r="F22" s="49"/>
    </row>
    <row r="23" spans="1:7" ht="18.75" customHeight="1" x14ac:dyDescent="0.2">
      <c r="A23" s="103" t="s">
        <v>17</v>
      </c>
      <c r="B23" s="104"/>
      <c r="C23" s="104"/>
      <c r="D23" s="104"/>
      <c r="E23" s="7"/>
      <c r="F23" s="41"/>
    </row>
    <row r="24" spans="1:7" ht="7.5" customHeight="1" x14ac:dyDescent="0.2">
      <c r="A24" s="50"/>
      <c r="B24" s="51"/>
      <c r="C24" s="52"/>
      <c r="D24" s="35"/>
      <c r="E24" s="35"/>
      <c r="F24" s="36"/>
    </row>
    <row r="25" spans="1:7" ht="7.5" customHeight="1" x14ac:dyDescent="0.2">
      <c r="A25" s="37"/>
    </row>
    <row r="26" spans="1:7" ht="21" customHeight="1" x14ac:dyDescent="0.2">
      <c r="A26" s="125" t="s">
        <v>18</v>
      </c>
      <c r="B26" s="109"/>
      <c r="C26" s="109"/>
      <c r="D26" s="109"/>
      <c r="E26" s="109"/>
      <c r="F26" s="110"/>
    </row>
    <row r="27" spans="1:7" ht="46.5" customHeight="1" x14ac:dyDescent="0.2">
      <c r="A27" s="126" t="s">
        <v>19</v>
      </c>
      <c r="B27" s="109"/>
      <c r="C27" s="109"/>
      <c r="D27" s="109"/>
      <c r="E27" s="109"/>
      <c r="F27" s="110"/>
    </row>
    <row r="28" spans="1:7" ht="7.5" customHeight="1" x14ac:dyDescent="0.2">
      <c r="A28" s="53"/>
      <c r="B28" s="54"/>
      <c r="C28" s="54"/>
      <c r="D28" s="121"/>
      <c r="E28" s="122"/>
      <c r="F28" s="55"/>
    </row>
    <row r="29" spans="1:7" ht="16" customHeight="1" x14ac:dyDescent="0.2">
      <c r="A29" s="24"/>
      <c r="E29" s="93">
        <f>E9</f>
        <v>2027</v>
      </c>
      <c r="F29" s="56"/>
    </row>
    <row r="30" spans="1:7" ht="18.75" customHeight="1" x14ac:dyDescent="0.2">
      <c r="A30" s="103" t="s">
        <v>20</v>
      </c>
      <c r="B30" s="104"/>
      <c r="C30" s="104"/>
      <c r="D30" s="104"/>
      <c r="E30" s="89">
        <f>ROUND(IF(AND(OR(D2=Data!A2,D2=Data!A3,D2=Data!A6),OR(E2=Data!B2,E2=Data!B3,E2=Data!B4)),5%*(E13+IF(E20=Data!E2,E13*0.25,E23))+IF(E60&gt;5%,5%*(E13+IF(E20=Data!E2,E13*0.25,E23)),E62),0),0)</f>
        <v>0</v>
      </c>
      <c r="F30" s="57"/>
      <c r="G30" s="94" t="str">
        <f>IF(AND(ISBLANK($E$60),$E$30&gt;0),"Add the Pastor's Contribution Percentage in Section IV; Line E","")</f>
        <v/>
      </c>
    </row>
    <row r="31" spans="1:7" ht="18.75" customHeight="1" x14ac:dyDescent="0.2">
      <c r="A31" s="102" t="s">
        <v>21</v>
      </c>
      <c r="B31" s="101"/>
      <c r="C31" s="58" t="s">
        <v>22</v>
      </c>
      <c r="D31" s="8"/>
      <c r="E31" s="90">
        <f>IFERROR(VLOOKUP(D31,Data!$C$2:$D$18,2,FALSE),0)</f>
        <v>0</v>
      </c>
      <c r="F31" s="57"/>
    </row>
    <row r="32" spans="1:7" ht="18.75" customHeight="1" x14ac:dyDescent="0.2">
      <c r="A32" s="100" t="s">
        <v>24</v>
      </c>
      <c r="B32" s="101"/>
      <c r="C32" s="101"/>
      <c r="D32" s="101"/>
      <c r="E32" s="4"/>
      <c r="F32" s="57"/>
    </row>
    <row r="33" spans="1:6" ht="18.75" customHeight="1" x14ac:dyDescent="0.2">
      <c r="A33" s="100" t="s">
        <v>25</v>
      </c>
      <c r="B33" s="101"/>
      <c r="C33" s="101"/>
      <c r="D33" s="101"/>
      <c r="E33" s="4"/>
      <c r="F33" s="57"/>
    </row>
    <row r="34" spans="1:6" ht="18.75" customHeight="1" x14ac:dyDescent="0.2">
      <c r="A34" s="100" t="s">
        <v>26</v>
      </c>
      <c r="B34" s="101"/>
      <c r="C34" s="101"/>
      <c r="D34" s="101"/>
      <c r="E34" s="4"/>
      <c r="F34" s="57"/>
    </row>
    <row r="35" spans="1:6" ht="18.75" customHeight="1" x14ac:dyDescent="0.2">
      <c r="A35" s="100" t="s">
        <v>27</v>
      </c>
      <c r="B35" s="101"/>
      <c r="C35" s="101"/>
      <c r="D35" s="101"/>
      <c r="E35" s="4"/>
      <c r="F35" s="57"/>
    </row>
    <row r="36" spans="1:6" ht="17" customHeight="1" x14ac:dyDescent="0.2">
      <c r="A36" s="30" t="s">
        <v>28</v>
      </c>
      <c r="B36" s="136"/>
      <c r="C36" s="118"/>
      <c r="D36" s="118"/>
      <c r="E36" s="59"/>
      <c r="F36" s="57"/>
    </row>
    <row r="37" spans="1:6" ht="18.75" customHeight="1" thickBot="1" x14ac:dyDescent="0.25">
      <c r="A37" s="103" t="s">
        <v>29</v>
      </c>
      <c r="B37" s="104"/>
      <c r="C37" s="104"/>
      <c r="D37" s="104"/>
      <c r="E37" s="88">
        <f>E30+E31+E32+E34+E35+E23+E13+E33</f>
        <v>0</v>
      </c>
      <c r="F37" s="57"/>
    </row>
    <row r="38" spans="1:6" ht="7.5" customHeight="1" thickTop="1" x14ac:dyDescent="0.2">
      <c r="A38" s="60"/>
      <c r="B38" s="35"/>
      <c r="C38" s="35"/>
      <c r="D38" s="137"/>
      <c r="E38" s="138"/>
      <c r="F38" s="62"/>
    </row>
    <row r="39" spans="1:6" ht="7.5" customHeight="1" x14ac:dyDescent="0.2">
      <c r="A39" s="37"/>
    </row>
    <row r="40" spans="1:6" ht="15.75" customHeight="1" x14ac:dyDescent="0.2">
      <c r="A40" s="135" t="s">
        <v>30</v>
      </c>
      <c r="B40" s="109"/>
      <c r="C40" s="109"/>
      <c r="D40" s="109"/>
      <c r="E40" s="109"/>
      <c r="F40" s="110"/>
    </row>
    <row r="41" spans="1:6" ht="22.5" customHeight="1" x14ac:dyDescent="0.2">
      <c r="A41" s="63" t="s">
        <v>31</v>
      </c>
      <c r="B41" s="9"/>
      <c r="C41" s="9"/>
      <c r="D41" s="9"/>
      <c r="E41" s="105"/>
      <c r="F41" s="106"/>
    </row>
    <row r="42" spans="1:6" ht="22.5" customHeight="1" x14ac:dyDescent="0.2">
      <c r="A42" s="63" t="s">
        <v>32</v>
      </c>
      <c r="B42" s="10"/>
      <c r="C42" s="10"/>
      <c r="D42" s="10"/>
      <c r="E42" s="107"/>
      <c r="F42" s="106"/>
    </row>
    <row r="43" spans="1:6" ht="22.5" customHeight="1" x14ac:dyDescent="0.2">
      <c r="A43" s="63" t="s">
        <v>33</v>
      </c>
      <c r="B43" s="91">
        <f>$E$37*B41</f>
        <v>0</v>
      </c>
      <c r="C43" s="91">
        <f>$E$37*C41</f>
        <v>0</v>
      </c>
      <c r="D43" s="91">
        <f>$E$37*D41</f>
        <v>0</v>
      </c>
      <c r="E43" s="98">
        <f>E41*$E$37</f>
        <v>0</v>
      </c>
      <c r="F43" s="99"/>
    </row>
    <row r="44" spans="1:6" ht="7.5" customHeight="1" x14ac:dyDescent="0.2">
      <c r="A44" s="64"/>
      <c r="B44" s="64"/>
      <c r="C44" s="64"/>
      <c r="D44" s="64"/>
      <c r="E44" s="64"/>
      <c r="F44" s="64"/>
    </row>
    <row r="45" spans="1:6" ht="21" customHeight="1" x14ac:dyDescent="0.2">
      <c r="A45" s="108" t="s">
        <v>34</v>
      </c>
      <c r="B45" s="109"/>
      <c r="C45" s="109"/>
      <c r="D45" s="109"/>
      <c r="E45" s="109"/>
      <c r="F45" s="110"/>
    </row>
    <row r="46" spans="1:6" ht="32.25" customHeight="1" x14ac:dyDescent="0.2">
      <c r="A46" s="111" t="s">
        <v>35</v>
      </c>
      <c r="B46" s="109"/>
      <c r="C46" s="109"/>
      <c r="D46" s="109"/>
      <c r="E46" s="109"/>
      <c r="F46" s="110"/>
    </row>
    <row r="47" spans="1:6" ht="7.5" customHeight="1" x14ac:dyDescent="0.2">
      <c r="A47" s="65"/>
      <c r="B47" s="54"/>
      <c r="C47" s="54"/>
      <c r="D47" s="54"/>
      <c r="E47" s="54"/>
      <c r="F47" s="55"/>
    </row>
    <row r="48" spans="1:6" ht="16" customHeight="1" x14ac:dyDescent="0.2">
      <c r="A48" s="66"/>
      <c r="D48" s="47"/>
      <c r="E48" s="93">
        <f>E9</f>
        <v>2027</v>
      </c>
      <c r="F48" s="27"/>
    </row>
    <row r="49" spans="1:7" ht="19" customHeight="1" x14ac:dyDescent="0.2">
      <c r="A49" s="114" t="s">
        <v>36</v>
      </c>
      <c r="B49" s="115"/>
      <c r="C49" s="115"/>
      <c r="D49" s="115"/>
      <c r="E49" s="47"/>
      <c r="F49" s="56"/>
    </row>
    <row r="50" spans="1:7" ht="18.75" customHeight="1" x14ac:dyDescent="0.2">
      <c r="A50" s="112" t="s">
        <v>127</v>
      </c>
      <c r="B50" s="113"/>
      <c r="C50" s="113"/>
      <c r="D50" s="8"/>
      <c r="E50" s="90">
        <f>IFERROR(VLOOKUP(D50,Data!$M$2:$N$18,2,FALSE),0)</f>
        <v>0</v>
      </c>
      <c r="F50" s="57"/>
    </row>
    <row r="51" spans="1:7" ht="18.75" customHeight="1" x14ac:dyDescent="0.2">
      <c r="A51" s="100" t="s">
        <v>124</v>
      </c>
      <c r="B51" s="101"/>
      <c r="C51" s="101"/>
      <c r="D51" s="101"/>
      <c r="E51" s="7"/>
      <c r="F51" s="57"/>
    </row>
    <row r="52" spans="1:7" ht="18.75" customHeight="1" x14ac:dyDescent="0.2">
      <c r="A52" s="131" t="s">
        <v>128</v>
      </c>
      <c r="B52" s="101"/>
      <c r="C52" s="101"/>
      <c r="D52" s="8"/>
      <c r="E52" s="90">
        <f>IFERROR(VLOOKUP(D52,Data!$O$2:$P$18,2,FALSE),0)</f>
        <v>0</v>
      </c>
      <c r="F52" s="57"/>
    </row>
    <row r="53" spans="1:7" ht="18.75" customHeight="1" x14ac:dyDescent="0.2">
      <c r="A53" s="100" t="s">
        <v>37</v>
      </c>
      <c r="B53" s="101"/>
      <c r="C53" s="101"/>
      <c r="D53" s="101"/>
      <c r="E53" s="7"/>
      <c r="F53" s="57"/>
    </row>
    <row r="54" spans="1:7" ht="18.75" customHeight="1" x14ac:dyDescent="0.2">
      <c r="A54" s="100" t="s">
        <v>38</v>
      </c>
      <c r="B54" s="101"/>
      <c r="C54" s="101"/>
      <c r="D54" s="101"/>
      <c r="E54" s="7"/>
      <c r="F54" s="57"/>
    </row>
    <row r="55" spans="1:7" ht="18.75" customHeight="1" x14ac:dyDescent="0.2">
      <c r="A55" s="116" t="s">
        <v>121</v>
      </c>
      <c r="B55" s="101"/>
      <c r="C55" s="101"/>
      <c r="D55" s="8"/>
      <c r="E55" s="90">
        <f>IFERROR(VLOOKUP(D55,Data!$I$2:$J$14,2,FALSE),0)</f>
        <v>0</v>
      </c>
      <c r="F55" s="57"/>
    </row>
    <row r="56" spans="1:7" ht="18.75" customHeight="1" x14ac:dyDescent="0.2">
      <c r="A56" s="116" t="s">
        <v>122</v>
      </c>
      <c r="B56" s="101"/>
      <c r="C56" s="101"/>
      <c r="D56" s="8"/>
      <c r="E56" s="90">
        <f>IFERROR(VLOOKUP(D56,Data!$K$2:$L$10,2,FALSE),0)</f>
        <v>0</v>
      </c>
      <c r="F56" s="57"/>
    </row>
    <row r="57" spans="1:7" ht="18.75" customHeight="1" x14ac:dyDescent="0.2">
      <c r="A57" s="100" t="s">
        <v>39</v>
      </c>
      <c r="B57" s="101"/>
      <c r="C57" s="101"/>
      <c r="D57" s="101"/>
      <c r="E57" s="7"/>
      <c r="F57" s="57"/>
    </row>
    <row r="58" spans="1:7" ht="7.5" customHeight="1" x14ac:dyDescent="0.2">
      <c r="A58" s="67"/>
      <c r="B58" s="68"/>
      <c r="C58" s="68"/>
      <c r="D58" s="68"/>
      <c r="E58" s="69"/>
      <c r="F58" s="70"/>
    </row>
    <row r="59" spans="1:7" ht="19" customHeight="1" x14ac:dyDescent="0.2">
      <c r="A59" s="114" t="s">
        <v>40</v>
      </c>
      <c r="B59" s="115"/>
      <c r="C59" s="115"/>
      <c r="D59" s="115"/>
      <c r="E59" s="71"/>
      <c r="F59" s="72"/>
    </row>
    <row r="60" spans="1:7" ht="18.75" customHeight="1" x14ac:dyDescent="0.2">
      <c r="A60" s="103" t="s">
        <v>41</v>
      </c>
      <c r="B60" s="104"/>
      <c r="C60" s="104"/>
      <c r="D60" s="104"/>
      <c r="E60" s="11">
        <v>0</v>
      </c>
      <c r="F60" s="57"/>
      <c r="G60" s="94" t="str">
        <f>IF(AND(ISBLANK($E$60),$E$30&gt;0),"Add the Pastor's Contribution Percentage to calculate the Church's Share","")</f>
        <v/>
      </c>
    </row>
    <row r="61" spans="1:7" ht="18.75" customHeight="1" x14ac:dyDescent="0.2">
      <c r="A61" s="100" t="s">
        <v>42</v>
      </c>
      <c r="B61" s="101"/>
      <c r="C61" s="101"/>
      <c r="D61" s="101"/>
      <c r="E61" s="12" t="s">
        <v>43</v>
      </c>
      <c r="F61" s="57"/>
    </row>
    <row r="62" spans="1:7" ht="18.75" customHeight="1" x14ac:dyDescent="0.2">
      <c r="A62" s="100" t="s">
        <v>44</v>
      </c>
      <c r="B62" s="101"/>
      <c r="C62" s="101"/>
      <c r="D62" s="101"/>
      <c r="E62" s="95">
        <f>ROUND(E60*(E13+IF(E20=Data!E2,E13*0.25,E23)),0)</f>
        <v>0</v>
      </c>
      <c r="F62" s="57"/>
    </row>
    <row r="63" spans="1:7" ht="7.5" customHeight="1" x14ac:dyDescent="0.2">
      <c r="A63" s="73"/>
      <c r="B63" s="74"/>
      <c r="C63" s="74"/>
      <c r="D63" s="74"/>
      <c r="E63" s="74"/>
      <c r="F63" s="75"/>
    </row>
    <row r="64" spans="1:7" ht="7.5" customHeight="1" x14ac:dyDescent="0.2"/>
    <row r="65" spans="1:6" ht="21" customHeight="1" x14ac:dyDescent="0.2">
      <c r="A65" s="108" t="s">
        <v>45</v>
      </c>
      <c r="B65" s="109"/>
      <c r="C65" s="109"/>
      <c r="D65" s="109"/>
      <c r="E65" s="109"/>
      <c r="F65" s="110"/>
    </row>
    <row r="66" spans="1:6" x14ac:dyDescent="0.2">
      <c r="A66" s="111" t="s">
        <v>46</v>
      </c>
      <c r="B66" s="109"/>
      <c r="C66" s="109"/>
      <c r="D66" s="109"/>
      <c r="E66" s="109"/>
      <c r="F66" s="110"/>
    </row>
    <row r="67" spans="1:6" ht="7.5" customHeight="1" x14ac:dyDescent="0.2">
      <c r="A67" s="65"/>
      <c r="B67" s="54"/>
      <c r="C67" s="54"/>
      <c r="D67" s="54"/>
      <c r="E67" s="54"/>
      <c r="F67" s="55"/>
    </row>
    <row r="68" spans="1:6" ht="18.75" customHeight="1" x14ac:dyDescent="0.2">
      <c r="A68" s="76" t="s">
        <v>47</v>
      </c>
      <c r="B68" s="13"/>
      <c r="C68" s="77"/>
      <c r="D68" s="78" t="s">
        <v>49</v>
      </c>
      <c r="E68" s="79"/>
      <c r="F68" s="57"/>
    </row>
    <row r="69" spans="1:6" ht="18.75" customHeight="1" x14ac:dyDescent="0.2">
      <c r="A69" s="30" t="s">
        <v>50</v>
      </c>
      <c r="B69" s="14"/>
      <c r="C69" s="80" t="s">
        <v>51</v>
      </c>
      <c r="D69" s="81" t="s">
        <v>52</v>
      </c>
      <c r="E69" s="92">
        <f>E13-E14-E51-E53-E54-E55-E56-E72-IF(E50&gt;0,E50,0)</f>
        <v>0</v>
      </c>
      <c r="F69" s="57"/>
    </row>
    <row r="70" spans="1:6" ht="18.75" customHeight="1" x14ac:dyDescent="0.2">
      <c r="A70" s="76" t="s">
        <v>53</v>
      </c>
      <c r="B70" s="96" t="e">
        <f>ROUND((E13+E23-IF(E50&lt;0,0,E50)-E51-E53-E54-E55-E56-E57-E62)/VLOOKUP(B68,Data!G2:H5,2,FALSE),2)-B69</f>
        <v>#N/A</v>
      </c>
      <c r="C70" s="77"/>
      <c r="D70" s="81" t="s">
        <v>54</v>
      </c>
      <c r="E70" s="92" t="e">
        <f>VLOOKUP(B68,Data!G2:H5,2,FALSE)*B69</f>
        <v>#N/A</v>
      </c>
      <c r="F70" s="57"/>
    </row>
    <row r="71" spans="1:6" ht="18.75" customHeight="1" x14ac:dyDescent="0.2">
      <c r="A71" s="82"/>
      <c r="B71" s="77"/>
      <c r="C71" s="77"/>
      <c r="D71" s="81" t="s">
        <v>55</v>
      </c>
      <c r="E71" s="92">
        <f>E54</f>
        <v>0</v>
      </c>
      <c r="F71" s="57"/>
    </row>
    <row r="72" spans="1:6" ht="18.75" customHeight="1" x14ac:dyDescent="0.2">
      <c r="A72" s="83"/>
      <c r="B72" s="78" t="s">
        <v>56</v>
      </c>
      <c r="C72" s="78" t="s">
        <v>57</v>
      </c>
      <c r="D72" s="81" t="s">
        <v>58</v>
      </c>
      <c r="E72" s="92">
        <f>IF(E61=Data!F2,E62,0)</f>
        <v>0</v>
      </c>
      <c r="F72" s="57"/>
    </row>
    <row r="73" spans="1:6" ht="18.75" customHeight="1" x14ac:dyDescent="0.2">
      <c r="A73" s="132" t="s">
        <v>59</v>
      </c>
      <c r="C73" s="77"/>
      <c r="D73" s="81" t="s">
        <v>60</v>
      </c>
      <c r="E73" s="92">
        <f>IF(E61=Data!F3,E62,0)</f>
        <v>0</v>
      </c>
      <c r="F73" s="57"/>
    </row>
    <row r="74" spans="1:6" ht="18.75" customHeight="1" x14ac:dyDescent="0.2">
      <c r="A74" s="133"/>
      <c r="B74" s="92">
        <f>E31/12</f>
        <v>0</v>
      </c>
      <c r="C74" s="92">
        <f>(E50+E55+E56)/12</f>
        <v>0</v>
      </c>
      <c r="D74" s="81" t="s">
        <v>61</v>
      </c>
      <c r="E74" s="92">
        <f>E52+E51</f>
        <v>0</v>
      </c>
      <c r="F74" s="57"/>
    </row>
    <row r="75" spans="1:6" ht="18.75" customHeight="1" x14ac:dyDescent="0.2">
      <c r="A75" s="132" t="s">
        <v>62</v>
      </c>
      <c r="B75" s="84"/>
      <c r="D75" s="81" t="s">
        <v>98</v>
      </c>
      <c r="E75" s="92">
        <f>E14+E23</f>
        <v>0</v>
      </c>
      <c r="F75" s="57"/>
    </row>
    <row r="76" spans="1:6" ht="18.75" customHeight="1" x14ac:dyDescent="0.2">
      <c r="A76" s="133"/>
      <c r="B76" s="92">
        <f>E30/12</f>
        <v>0</v>
      </c>
      <c r="C76" s="92">
        <f>E62/12</f>
        <v>0</v>
      </c>
      <c r="D76" s="97" t="s">
        <v>129</v>
      </c>
      <c r="E76" s="84"/>
      <c r="F76" s="57"/>
    </row>
    <row r="77" spans="1:6" ht="18.75" customHeight="1" x14ac:dyDescent="0.2">
      <c r="A77" s="132" t="s">
        <v>63</v>
      </c>
      <c r="B77" s="84"/>
      <c r="C77" s="80"/>
      <c r="D77" s="81"/>
      <c r="E77" s="84"/>
      <c r="F77" s="57"/>
    </row>
    <row r="78" spans="1:6" ht="18.75" customHeight="1" x14ac:dyDescent="0.2">
      <c r="A78" s="133"/>
      <c r="B78" s="92">
        <f>E52/12</f>
        <v>0</v>
      </c>
      <c r="C78" s="92">
        <f>(E51+E53+E54)/12</f>
        <v>0</v>
      </c>
      <c r="D78" s="19"/>
      <c r="E78" s="19"/>
      <c r="F78" s="70"/>
    </row>
    <row r="79" spans="1:6" ht="7.5" customHeight="1" x14ac:dyDescent="0.2">
      <c r="A79" s="85"/>
      <c r="B79" s="61"/>
      <c r="C79" s="61"/>
      <c r="D79" s="61"/>
      <c r="E79" s="61"/>
      <c r="F79" s="86"/>
    </row>
    <row r="113" spans="1:1" x14ac:dyDescent="0.2">
      <c r="A113" s="87"/>
    </row>
  </sheetData>
  <sheetProtection algorithmName="SHA-512" hashValue="20u5Tu2gg3HhnAgsDc2C4jIO30kOecAcTW7vziHFxfmtk0HYayie6hQ8h/gcoz3z2zMLkGnDkiWmkXY9HebEAQ==" saltValue="pF60bDXdk9ZXpOO5fqWuhw==" spinCount="100000" sheet="1" objects="1" scenarios="1"/>
  <mergeCells count="57">
    <mergeCell ref="A73:A74"/>
    <mergeCell ref="A75:A76"/>
    <mergeCell ref="A77:A78"/>
    <mergeCell ref="A1:C1"/>
    <mergeCell ref="A4:C4"/>
    <mergeCell ref="A45:F45"/>
    <mergeCell ref="A46:F46"/>
    <mergeCell ref="A49:D49"/>
    <mergeCell ref="A40:F40"/>
    <mergeCell ref="A37:D37"/>
    <mergeCell ref="B36:D36"/>
    <mergeCell ref="D38:E38"/>
    <mergeCell ref="A32:D32"/>
    <mergeCell ref="A34:D34"/>
    <mergeCell ref="A35:D35"/>
    <mergeCell ref="E1:F1"/>
    <mergeCell ref="A2:C2"/>
    <mergeCell ref="E2:F2"/>
    <mergeCell ref="A3:C3"/>
    <mergeCell ref="D3:F3"/>
    <mergeCell ref="D4:F4"/>
    <mergeCell ref="B5:C5"/>
    <mergeCell ref="E5:F5"/>
    <mergeCell ref="D28:E28"/>
    <mergeCell ref="B12:D12"/>
    <mergeCell ref="A13:D13"/>
    <mergeCell ref="A14:D14"/>
    <mergeCell ref="A26:F26"/>
    <mergeCell ref="A27:F27"/>
    <mergeCell ref="A18:F18"/>
    <mergeCell ref="A60:D60"/>
    <mergeCell ref="A61:D61"/>
    <mergeCell ref="A65:F65"/>
    <mergeCell ref="A66:F66"/>
    <mergeCell ref="A62:D62"/>
    <mergeCell ref="A33:D33"/>
    <mergeCell ref="A50:C50"/>
    <mergeCell ref="A57:D57"/>
    <mergeCell ref="A54:D54"/>
    <mergeCell ref="A59:D59"/>
    <mergeCell ref="A55:C55"/>
    <mergeCell ref="A56:C56"/>
    <mergeCell ref="A53:D53"/>
    <mergeCell ref="A52:C52"/>
    <mergeCell ref="A6:F6"/>
    <mergeCell ref="A7:F7"/>
    <mergeCell ref="A10:D10"/>
    <mergeCell ref="A11:D11"/>
    <mergeCell ref="A17:F17"/>
    <mergeCell ref="E43:F43"/>
    <mergeCell ref="A51:D51"/>
    <mergeCell ref="A31:B31"/>
    <mergeCell ref="A23:D23"/>
    <mergeCell ref="A20:D20"/>
    <mergeCell ref="A30:D30"/>
    <mergeCell ref="E41:F41"/>
    <mergeCell ref="E42:F42"/>
  </mergeCells>
  <dataValidations count="2">
    <dataValidation type="list" allowBlank="1" showInputMessage="1" showErrorMessage="1" error="Please choose YES or NO." promptTitle="Select YES or NO" prompt="Choose YES or NO from the list." sqref="E20" xr:uid="{00000000-0002-0000-0000-000001000000}">
      <formula1>"YES,NO"</formula1>
    </dataValidation>
    <dataValidation type="list" allowBlank="1" showInputMessage="1" showErrorMessage="1" sqref="E20" xr:uid="{00000000-0002-0000-0000-000005000000}">
      <formula1>"YES,NO"</formula1>
    </dataValidation>
  </dataValidations>
  <printOptions horizontalCentered="1"/>
  <pageMargins left="0.75" right="0.75" top="0.84375" bottom="0.5" header="0.3" footer="0.3"/>
  <pageSetup scale="94" orientation="portrait"/>
  <headerFooter>
    <oddHeader>&amp;C&amp;10 &amp;KFF00002027 CLERGY COMPENSATION FORM
This form is a tool to help Global Methodist Churches.</oddHeader>
    <oddFooter>&amp;L&amp;"-,Bold"&amp;14 Give a copy of this form to the person responsible for payroll. &amp;R&amp;12 &amp;P | Page</oddFooter>
  </headerFooter>
  <rowBreaks count="1" manualBreakCount="1">
    <brk id="39" max="16383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error="Please choose a status from the list." promptTitle="Select Status" prompt="Choose a clergy status (e.g., Elder, Deacon, etc.)." xr:uid="{00000000-0002-0000-0000-000000000000}">
          <x14:formula1>
            <xm:f>Data!$A$2:$A$7</xm:f>
          </x14:formula1>
          <xm:sqref>D2</xm:sqref>
        </x14:dataValidation>
        <x14:dataValidation type="list" allowBlank="1" showInputMessage="1" showErrorMessage="1" error="Please choose from the list." promptTitle="Select Health Coverage" prompt="Choose a coverage option from the list." xr:uid="{00000000-0002-0000-0000-000002000000}">
          <x14:formula1>
            <xm:f>Data!$C$2:$C$18</xm:f>
          </x14:formula1>
          <xm:sqref>D31</xm:sqref>
        </x14:dataValidation>
        <x14:dataValidation type="list" allowBlank="1" showInputMessage="1" showErrorMessage="1" xr:uid="{00000000-0002-0000-0000-000003000000}">
          <x14:formula1>
            <xm:f>Data!$A$2:$A$7</xm:f>
          </x14:formula1>
          <xm:sqref>D2</xm:sqref>
        </x14:dataValidation>
        <x14:dataValidation type="list" allowBlank="1" showInputMessage="1" showErrorMessage="1" xr:uid="{00000000-0002-0000-0000-000004000000}">
          <x14:formula1>
            <xm:f>Data!$B$2:$B$5</xm:f>
          </x14:formula1>
          <xm:sqref>E2</xm:sqref>
        </x14:dataValidation>
        <x14:dataValidation type="list" allowBlank="1" showInputMessage="1" showErrorMessage="1" xr:uid="{00000000-0002-0000-0000-000006000000}">
          <x14:formula1>
            <xm:f>Data!$C$2:$C$6</xm:f>
          </x14:formula1>
          <xm:sqref>D31</xm:sqref>
        </x14:dataValidation>
        <x14:dataValidation type="list" allowBlank="1" showInputMessage="1" showErrorMessage="1" xr:uid="{00000000-0002-0000-0000-000007000000}">
          <x14:formula1>
            <xm:f>Data!$F$2:$F$3</xm:f>
          </x14:formula1>
          <xm:sqref>E61</xm:sqref>
        </x14:dataValidation>
        <x14:dataValidation type="list" allowBlank="1" showInputMessage="1" showErrorMessage="1" xr:uid="{00000000-0002-0000-0000-000008000000}">
          <x14:formula1>
            <xm:f>Data!$G$2:$G$5</xm:f>
          </x14:formula1>
          <xm:sqref>B68</xm:sqref>
        </x14:dataValidation>
        <x14:dataValidation type="list" allowBlank="1" showInputMessage="1" showErrorMessage="1" error="Please choose from the list." promptTitle="Select Health Coverage" prompt="Choose a coverage option from the list." xr:uid="{B858B98C-BE10-784B-B7B3-B58DD5CFBCEB}">
          <x14:formula1>
            <xm:f>Data!$I$2:$I$14</xm:f>
          </x14:formula1>
          <xm:sqref>D55</xm:sqref>
        </x14:dataValidation>
        <x14:dataValidation type="list" allowBlank="1" showInputMessage="1" showErrorMessage="1" xr:uid="{28053960-4F02-214B-848B-0F064569CD06}">
          <x14:formula1>
            <xm:f>Data!$I$3:$I$14</xm:f>
          </x14:formula1>
          <xm:sqref>D55</xm:sqref>
        </x14:dataValidation>
        <x14:dataValidation type="list" allowBlank="1" showInputMessage="1" showErrorMessage="1" error="Please choose from the list." promptTitle="Select Health Coverage" prompt="Choose a coverage option from the list." xr:uid="{F4134A3B-3F6A-334A-9066-76D256E68A43}">
          <x14:formula1>
            <xm:f>Data!$K$2:$K$10</xm:f>
          </x14:formula1>
          <xm:sqref>D56</xm:sqref>
        </x14:dataValidation>
        <x14:dataValidation type="list" allowBlank="1" showInputMessage="1" showErrorMessage="1" xr:uid="{82CE7485-7F76-6444-8FF2-7758D0AAEE7C}">
          <x14:formula1>
            <xm:f>Data!$K$2:$K$10</xm:f>
          </x14:formula1>
          <xm:sqref>D56</xm:sqref>
        </x14:dataValidation>
        <x14:dataValidation type="list" allowBlank="1" showInputMessage="1" showErrorMessage="1" error="Please choose from the list." promptTitle="Select Health Coverage" prompt="Choose a coverage option from the list." xr:uid="{9ACCB964-C8A8-6B45-A9D0-A188CA0250DA}">
          <x14:formula1>
            <xm:f>Data!$M$1:$M$18</xm:f>
          </x14:formula1>
          <xm:sqref>D50</xm:sqref>
        </x14:dataValidation>
        <x14:dataValidation type="list" allowBlank="1" showInputMessage="1" showErrorMessage="1" xr:uid="{8E555398-07BC-B145-9345-70354A2E6052}">
          <x14:formula1>
            <xm:f>Data!$M$2:$M$18</xm:f>
          </x14:formula1>
          <xm:sqref>D50</xm:sqref>
        </x14:dataValidation>
        <x14:dataValidation type="list" allowBlank="1" showInputMessage="1" showErrorMessage="1" error="Please choose from the list." promptTitle="Select Health Coverage" prompt="Choose a coverage option from the list." xr:uid="{7008ED4A-B61A-DD42-99CE-0FBC6349E5A8}">
          <x14:formula1>
            <xm:f>Data!$O$2:$O$18</xm:f>
          </x14:formula1>
          <xm:sqref>D52</xm:sqref>
        </x14:dataValidation>
        <x14:dataValidation type="list" allowBlank="1" showInputMessage="1" showErrorMessage="1" xr:uid="{C21F9F9B-F2F2-0D4C-8510-07C32EE1A64F}">
          <x14:formula1>
            <xm:f>Data!$M$11:$M$18</xm:f>
          </x14:formula1>
          <xm:sqref>D52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P18"/>
  <sheetViews>
    <sheetView workbookViewId="0">
      <selection activeCell="D16" sqref="D16"/>
    </sheetView>
  </sheetViews>
  <sheetFormatPr baseColWidth="10" defaultColWidth="8.83203125" defaultRowHeight="15" x14ac:dyDescent="0.2"/>
  <cols>
    <col min="1" max="1" width="11.6640625" bestFit="1" customWidth="1"/>
    <col min="4" max="4" width="10.1640625" bestFit="1" customWidth="1"/>
    <col min="6" max="6" width="10.6640625" bestFit="1" customWidth="1"/>
  </cols>
  <sheetData>
    <row r="1" spans="1:16" x14ac:dyDescent="0.2">
      <c r="A1" s="1" t="s">
        <v>1</v>
      </c>
      <c r="B1" s="1" t="s">
        <v>64</v>
      </c>
      <c r="C1" s="1" t="s">
        <v>65</v>
      </c>
      <c r="D1" s="1" t="s">
        <v>56</v>
      </c>
      <c r="E1" s="1" t="s">
        <v>66</v>
      </c>
      <c r="F1" s="1" t="s">
        <v>67</v>
      </c>
      <c r="G1" s="1" t="s">
        <v>68</v>
      </c>
      <c r="I1" s="15" t="s">
        <v>99</v>
      </c>
      <c r="K1" s="15" t="s">
        <v>100</v>
      </c>
      <c r="M1" t="s">
        <v>123</v>
      </c>
      <c r="N1" t="s">
        <v>57</v>
      </c>
      <c r="O1" t="s">
        <v>125</v>
      </c>
    </row>
    <row r="2" spans="1:16" x14ac:dyDescent="0.2">
      <c r="A2" t="s">
        <v>69</v>
      </c>
      <c r="B2" t="s">
        <v>5</v>
      </c>
      <c r="C2" t="s">
        <v>23</v>
      </c>
      <c r="D2">
        <v>0</v>
      </c>
      <c r="E2" t="s">
        <v>16</v>
      </c>
      <c r="F2" t="s">
        <v>43</v>
      </c>
      <c r="G2" t="s">
        <v>48</v>
      </c>
      <c r="H2">
        <v>24</v>
      </c>
      <c r="I2" s="15" t="s">
        <v>23</v>
      </c>
      <c r="J2">
        <v>0</v>
      </c>
      <c r="K2" s="15" t="s">
        <v>23</v>
      </c>
      <c r="L2">
        <v>0</v>
      </c>
      <c r="M2" t="s">
        <v>23</v>
      </c>
      <c r="N2">
        <v>0</v>
      </c>
      <c r="O2" t="s">
        <v>23</v>
      </c>
      <c r="P2">
        <v>0</v>
      </c>
    </row>
    <row r="3" spans="1:16" x14ac:dyDescent="0.2">
      <c r="A3" t="s">
        <v>70</v>
      </c>
      <c r="B3" t="s">
        <v>71</v>
      </c>
      <c r="C3" t="s">
        <v>82</v>
      </c>
      <c r="D3" s="2">
        <f>(1024.11*12)</f>
        <v>12289.32</v>
      </c>
      <c r="E3" t="s">
        <v>72</v>
      </c>
      <c r="F3" t="s">
        <v>73</v>
      </c>
      <c r="G3" t="s">
        <v>74</v>
      </c>
      <c r="H3">
        <v>12</v>
      </c>
      <c r="I3" t="s">
        <v>101</v>
      </c>
      <c r="J3">
        <f>39.15*12</f>
        <v>469.79999999999995</v>
      </c>
      <c r="K3" t="s">
        <v>102</v>
      </c>
      <c r="L3">
        <f>11.56*12</f>
        <v>138.72</v>
      </c>
      <c r="M3" t="s">
        <v>82</v>
      </c>
      <c r="N3">
        <f>88.22*12</f>
        <v>1058.6399999999999</v>
      </c>
      <c r="O3" t="s">
        <v>82</v>
      </c>
      <c r="P3">
        <v>0</v>
      </c>
    </row>
    <row r="4" spans="1:16" x14ac:dyDescent="0.2">
      <c r="A4" t="s">
        <v>75</v>
      </c>
      <c r="B4" t="s">
        <v>76</v>
      </c>
      <c r="C4" t="s">
        <v>83</v>
      </c>
      <c r="D4" s="2">
        <f>(1931.17*12)</f>
        <v>23174.04</v>
      </c>
      <c r="G4" t="s">
        <v>77</v>
      </c>
      <c r="H4">
        <v>26</v>
      </c>
      <c r="I4" t="s">
        <v>103</v>
      </c>
      <c r="J4">
        <f>78.3*12</f>
        <v>939.59999999999991</v>
      </c>
      <c r="K4" t="s">
        <v>104</v>
      </c>
      <c r="L4">
        <f>20.33*12</f>
        <v>243.95999999999998</v>
      </c>
      <c r="M4" t="s">
        <v>83</v>
      </c>
      <c r="N4">
        <f>182.25*12</f>
        <v>2187</v>
      </c>
      <c r="O4" t="s">
        <v>83</v>
      </c>
      <c r="P4">
        <v>0</v>
      </c>
    </row>
    <row r="5" spans="1:16" x14ac:dyDescent="0.2">
      <c r="A5" t="s">
        <v>126</v>
      </c>
      <c r="B5" t="s">
        <v>78</v>
      </c>
      <c r="C5" t="s">
        <v>84</v>
      </c>
      <c r="D5" s="2">
        <f>1931.17*12</f>
        <v>23174.04</v>
      </c>
      <c r="G5" t="s">
        <v>79</v>
      </c>
      <c r="H5">
        <v>52</v>
      </c>
      <c r="I5" t="s">
        <v>105</v>
      </c>
      <c r="J5">
        <f>97.88*12</f>
        <v>1174.56</v>
      </c>
      <c r="K5" t="s">
        <v>106</v>
      </c>
      <c r="L5">
        <f>21.57*12</f>
        <v>258.84000000000003</v>
      </c>
      <c r="M5" t="s">
        <v>84</v>
      </c>
      <c r="N5">
        <f>182.25*12</f>
        <v>2187</v>
      </c>
      <c r="O5" t="s">
        <v>84</v>
      </c>
      <c r="P5">
        <v>0</v>
      </c>
    </row>
    <row r="6" spans="1:16" x14ac:dyDescent="0.2">
      <c r="A6" t="s">
        <v>80</v>
      </c>
      <c r="C6" t="s">
        <v>85</v>
      </c>
      <c r="D6" s="2">
        <f>2633.4*12</f>
        <v>31600.800000000003</v>
      </c>
      <c r="I6" t="s">
        <v>107</v>
      </c>
      <c r="J6">
        <f>137.03*12</f>
        <v>1644.3600000000001</v>
      </c>
      <c r="K6" t="s">
        <v>108</v>
      </c>
      <c r="L6">
        <f>32.81*12</f>
        <v>393.72</v>
      </c>
      <c r="M6" t="s">
        <v>85</v>
      </c>
      <c r="N6">
        <f>258.65*12</f>
        <v>3103.7999999999997</v>
      </c>
      <c r="O6" t="s">
        <v>85</v>
      </c>
      <c r="P6">
        <v>0</v>
      </c>
    </row>
    <row r="7" spans="1:16" x14ac:dyDescent="0.2">
      <c r="A7" t="s">
        <v>81</v>
      </c>
      <c r="C7" t="s">
        <v>86</v>
      </c>
      <c r="D7" s="2">
        <f>1024.11*12</f>
        <v>12289.32</v>
      </c>
      <c r="I7" t="s">
        <v>109</v>
      </c>
      <c r="J7">
        <f>28.92*12</f>
        <v>347.04</v>
      </c>
      <c r="K7" t="s">
        <v>110</v>
      </c>
      <c r="L7">
        <f>9.1*12</f>
        <v>109.19999999999999</v>
      </c>
      <c r="M7" t="s">
        <v>86</v>
      </c>
      <c r="N7">
        <f>12.3*12</f>
        <v>147.60000000000002</v>
      </c>
      <c r="O7" t="s">
        <v>86</v>
      </c>
      <c r="P7">
        <v>0</v>
      </c>
    </row>
    <row r="8" spans="1:16" x14ac:dyDescent="0.2">
      <c r="C8" t="s">
        <v>87</v>
      </c>
      <c r="D8" s="2">
        <f>1931.17*12</f>
        <v>23174.04</v>
      </c>
      <c r="I8" t="s">
        <v>111</v>
      </c>
      <c r="J8">
        <f>57.84*12</f>
        <v>694.08</v>
      </c>
      <c r="K8" t="s">
        <v>112</v>
      </c>
      <c r="L8">
        <f>15.55*12</f>
        <v>186.60000000000002</v>
      </c>
      <c r="M8" t="s">
        <v>87</v>
      </c>
      <c r="N8">
        <f>37.99*12</f>
        <v>455.88</v>
      </c>
      <c r="O8" t="s">
        <v>87</v>
      </c>
      <c r="P8">
        <v>0</v>
      </c>
    </row>
    <row r="9" spans="1:16" x14ac:dyDescent="0.2">
      <c r="C9" t="s">
        <v>88</v>
      </c>
      <c r="D9" s="2">
        <f>1931.17*12</f>
        <v>23174.04</v>
      </c>
      <c r="I9" t="s">
        <v>113</v>
      </c>
      <c r="J9">
        <f>72.3*12</f>
        <v>867.59999999999991</v>
      </c>
      <c r="K9" t="s">
        <v>114</v>
      </c>
      <c r="L9">
        <f>16.48*12</f>
        <v>197.76</v>
      </c>
      <c r="M9" t="s">
        <v>88</v>
      </c>
      <c r="N9">
        <f>37.99*12</f>
        <v>455.88</v>
      </c>
      <c r="O9" t="s">
        <v>88</v>
      </c>
      <c r="P9">
        <v>0</v>
      </c>
    </row>
    <row r="10" spans="1:16" x14ac:dyDescent="0.2">
      <c r="C10" t="s">
        <v>89</v>
      </c>
      <c r="D10" s="2">
        <f>2633.4*12</f>
        <v>31600.800000000003</v>
      </c>
      <c r="I10" t="s">
        <v>115</v>
      </c>
      <c r="J10">
        <f>101.22*12</f>
        <v>1214.6399999999999</v>
      </c>
      <c r="K10" t="s">
        <v>116</v>
      </c>
      <c r="L10">
        <f>24.73*12</f>
        <v>296.76</v>
      </c>
      <c r="M10" t="s">
        <v>89</v>
      </c>
      <c r="N10">
        <f>61.25*12</f>
        <v>735</v>
      </c>
      <c r="O10" t="s">
        <v>89</v>
      </c>
      <c r="P10">
        <v>0</v>
      </c>
    </row>
    <row r="11" spans="1:16" x14ac:dyDescent="0.2">
      <c r="C11" t="s">
        <v>90</v>
      </c>
      <c r="D11" s="2">
        <f>(926.58+97.53)*12</f>
        <v>12289.320000000002</v>
      </c>
      <c r="I11" t="s">
        <v>117</v>
      </c>
      <c r="J11">
        <f>25.06*12</f>
        <v>300.71999999999997</v>
      </c>
      <c r="M11" t="s">
        <v>90</v>
      </c>
      <c r="N11">
        <f>125.5*12</f>
        <v>1506</v>
      </c>
      <c r="O11" t="s">
        <v>90</v>
      </c>
      <c r="P11">
        <f>(97.53)*12</f>
        <v>1170.3600000000001</v>
      </c>
    </row>
    <row r="12" spans="1:16" x14ac:dyDescent="0.2">
      <c r="C12" t="s">
        <v>91</v>
      </c>
      <c r="D12" s="2">
        <f>(1736.1+195.07)*12</f>
        <v>23174.039999999997</v>
      </c>
      <c r="I12" t="s">
        <v>118</v>
      </c>
      <c r="J12">
        <f>42.35*12</f>
        <v>508.20000000000005</v>
      </c>
      <c r="M12" t="s">
        <v>91</v>
      </c>
      <c r="N12">
        <f>262.83*12</f>
        <v>3153.96</v>
      </c>
      <c r="O12" t="s">
        <v>91</v>
      </c>
      <c r="P12">
        <f>(195.07)*12</f>
        <v>2340.84</v>
      </c>
    </row>
    <row r="13" spans="1:16" x14ac:dyDescent="0.2">
      <c r="C13" t="s">
        <v>92</v>
      </c>
      <c r="D13" s="2">
        <f>(1736.1+195.07)*12</f>
        <v>23174.039999999997</v>
      </c>
      <c r="I13" t="s">
        <v>119</v>
      </c>
      <c r="J13">
        <f>59.14*12</f>
        <v>709.68000000000006</v>
      </c>
      <c r="M13" t="s">
        <v>92</v>
      </c>
      <c r="N13">
        <f>262.83*12</f>
        <v>3153.96</v>
      </c>
      <c r="O13" t="s">
        <v>92</v>
      </c>
      <c r="P13">
        <f>(195.07)*12</f>
        <v>2340.84</v>
      </c>
    </row>
    <row r="14" spans="1:16" x14ac:dyDescent="0.2">
      <c r="C14" t="s">
        <v>93</v>
      </c>
      <c r="D14" s="2">
        <f>(2438.33+195.07)*12</f>
        <v>31600.800000000003</v>
      </c>
      <c r="I14" t="s">
        <v>120</v>
      </c>
      <c r="J14">
        <f>69.67*12</f>
        <v>836.04</v>
      </c>
      <c r="M14" t="s">
        <v>93</v>
      </c>
      <c r="N14">
        <f>297.06*12</f>
        <v>3564.7200000000003</v>
      </c>
      <c r="O14" t="s">
        <v>93</v>
      </c>
      <c r="P14">
        <f>(195.07)*12</f>
        <v>2340.84</v>
      </c>
    </row>
    <row r="15" spans="1:16" x14ac:dyDescent="0.2">
      <c r="C15" t="s">
        <v>94</v>
      </c>
      <c r="D15" s="2">
        <f>(907.46+97.53+19.12)*12</f>
        <v>12289.32</v>
      </c>
      <c r="M15" t="s">
        <v>94</v>
      </c>
      <c r="N15">
        <v>0</v>
      </c>
      <c r="O15" t="s">
        <v>94</v>
      </c>
      <c r="P15">
        <f>(97.53+19.12)*12</f>
        <v>1399.8000000000002</v>
      </c>
    </row>
    <row r="16" spans="1:16" x14ac:dyDescent="0.2">
      <c r="C16" t="s">
        <v>95</v>
      </c>
      <c r="D16" s="2">
        <f>(1724.16+195.07+11.94)*12</f>
        <v>23174.04</v>
      </c>
      <c r="M16" t="s">
        <v>95</v>
      </c>
      <c r="N16">
        <v>0</v>
      </c>
      <c r="O16" t="s">
        <v>95</v>
      </c>
      <c r="P16">
        <f>(195.07+11.94)*12</f>
        <v>2484.12</v>
      </c>
    </row>
    <row r="17" spans="3:16" x14ac:dyDescent="0.2">
      <c r="C17" t="s">
        <v>96</v>
      </c>
      <c r="D17" s="2">
        <f>(1724.16+195.07+11.94)*12</f>
        <v>23174.04</v>
      </c>
      <c r="M17" t="s">
        <v>96</v>
      </c>
      <c r="N17">
        <v>0</v>
      </c>
      <c r="O17" t="s">
        <v>96</v>
      </c>
      <c r="P17">
        <f>(195.07+11.94)*12</f>
        <v>2484.12</v>
      </c>
    </row>
    <row r="18" spans="3:16" x14ac:dyDescent="0.2">
      <c r="C18" t="s">
        <v>97</v>
      </c>
      <c r="D18" s="2">
        <f>(2359.38+195.07+78.95)*12</f>
        <v>31600.800000000003</v>
      </c>
      <c r="M18" t="s">
        <v>97</v>
      </c>
      <c r="N18">
        <v>0</v>
      </c>
      <c r="O18" t="s">
        <v>97</v>
      </c>
      <c r="P18">
        <f>(195.07+78.95)*12</f>
        <v>3288.24</v>
      </c>
    </row>
  </sheetData>
  <sheetProtection algorithmName="SHA-512" hashValue="iROW+VAr8jdTpD/OWTr4lLqmedRfwW9IxG0pa9H75HDuobrn92H1VVs4S/65P3IBPjnw0YzogTRdb71kDUzDMw==" saltValue="gCqG4PrOr0+XnPcpMTJA4w==" spinCount="100000" sheet="1" objects="1" scenarios="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Comp_Form</vt:lpstr>
      <vt:lpstr>Data</vt:lpstr>
      <vt:lpstr>Comp_Form!Print_Area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Pospisil</dc:creator>
  <cp:lastModifiedBy>Bridget Kirk</cp:lastModifiedBy>
  <cp:lastPrinted>2024-10-06T22:21:17Z</cp:lastPrinted>
  <dcterms:created xsi:type="dcterms:W3CDTF">2017-02-28T15:09:46Z</dcterms:created>
  <dcterms:modified xsi:type="dcterms:W3CDTF">2026-10-08T16:44:51Z</dcterms:modified>
</cp:coreProperties>
</file>